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<sst xmlns="http://schemas.openxmlformats.org/spreadsheetml/2006/main" count="707" uniqueCount="237">
  <si>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</si>
  <si>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</si>
  <si>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</si>
  <si>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</si>
  <si>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</si>
  <si>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</si>
  <si>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</si>
  <si>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</si>
  <si>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</si>
  <si>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</si>
  <si>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</si>
  <si>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</si>
  <si>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</si>
  <si>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</si>
  <si>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</si>
  <si>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</si>
  <si>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</si>
  <si>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</si>
  <si>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</si>
  <si>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</si>
  <si>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</si>
  <si>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</si>
  <si>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</si>
  <si>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</si>
  <si>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</si>
  <si>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</si>
  <si>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</si>
  <si>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</si>
  <si>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</si>
  <si>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</si>
  <si>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</si>
  <si>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</si>
  <si>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</si>
  <si>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</si>
  <si>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</si>
  <si>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</si>
  <si>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</si>
  <si>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</si>
  <si>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</si>
  <si>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</si>
  <si>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</si>
  <si>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</si>
  <si>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</si>
  <si>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</si>
  <si>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</si>
  <si>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</si>
  <si>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</si>
  <si>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</si>
  <si>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</si>
  <si>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</si>
  <si>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</si>
  <si>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</si>
  <si>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</si>
  <si>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</si>
  <si>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</si>
  <si>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</si>
  <si>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</si>
  <si>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</si>
  <si>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</si>
  <si>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</si>
  <si>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</si>
  <si>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</si>
  <si>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</si>
  <si>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</si>
  <si>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</si>
  <si>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</si>
  <si>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</si>
  <si>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</si>
  <si>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</si>
  <si>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</si>
  <si>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</si>
  <si>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</si>
  <si>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</si>
  <si>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</si>
  <si>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</si>
  <si>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</si>
  <si>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</si>
  <si>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</si>
  <si>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</si>
  <si>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</si>
  <si>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</si>
  <si>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</si>
  <si>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</si>
  <si>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</si>
  <si>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</si>
  <si>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</si>
  <si>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</si>
  <si>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</si>
  <si>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</si>
  <si>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</si>
  <si>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</si>
  <si>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</si>
  <si>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</si>
  <si>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</si>
  <si>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</si>
  <si>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</si>
  <si>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</si>
  <si>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</si>
  <si>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</si>
  <si>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</si>
  <si>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</si>
  <si>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</si>
  <si>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</si>
  <si>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</si>
  <si>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</si>
  <si>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</si>
  <si>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</si>
  <si>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</si>
  <si>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</si>
  <si>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</si>
  <si>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</si>
  <si>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</si>
  <si>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</si>
  <si>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</si>
  <si>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</si>
  <si>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</si>
  <si>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</si>
  <si>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</si>
  <si>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</si>
  <si>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</si>
  <si>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</si>
  <si>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</si>
  <si>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</si>
  <si>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</si>
  <si>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</si>
  <si>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</si>
  <si>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</si>
  <si>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</si>
  <si>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</si>
  <si>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</si>
  <si>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</si>
  <si>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</si>
  <si>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</si>
  <si>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</si>
  <si>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</si>
  <si>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</si>
  <si>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</si>
  <si>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</si>
  <si>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</si>
  <si>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</si>
  <si>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</si>
  <si>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</si>
  <si>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</si>
  <si>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</si>
  <si>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</si>
  <si>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</si>
  <si>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</si>
  <si>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</si>
  <si>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</si>
  <si>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</si>
  <si>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</si>
  <si>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</si>
  <si>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</si>
  <si>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</si>
  <si>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</si>
  <si>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</si>
  <si>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</si>
  <si>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</si>
  <si>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</si>
  <si>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</si>
  <si>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</si>
  <si>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</si>
  <si>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</si>
  <si>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</si>
  <si>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</si>
  <si>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</si>
  <si>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</si>
  <si>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</si>
  <si>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</si>
  <si>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</si>
  <si>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</si>
  <si>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</si>
  <si>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</si>
  <si>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</si>
  <si>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</si>
  <si>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</si>
  <si>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</si>
  <si>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</si>
  <si>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</si>
  <si>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</si>
  <si>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</si>
  <si>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</si>
  <si>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</si>
  <si>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</si>
  <si>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</si>
  <si>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</si>
  <si>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</si>
  <si>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</si>
  <si>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</si>
  <si>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</si>
  <si>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</si>
  <si>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</si>
  <si>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</si>
  <si>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</si>
  <si>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</si>
  <si>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</si>
  <si>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</si>
  <si>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</si>
  <si>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</si>
  <si>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</si>
  <si>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</si>
  <si>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</si>
  <si>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</si>
  <si>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</si>
  <si>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</si>
  <si>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</si>
  <si>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</si>
  <si>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</si>
  <si>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</si>
  <si>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</si>
  <si>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</si>
  <si>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</si>
  <si>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</si>
  <si>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</si>
  <si>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</si>
  <si>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</si>
  <si>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</si>
  <si>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</si>
  <si>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</si>
  <si>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</si>
  <si>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</si>
  <si>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</si>
  <si>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</si>
  <si>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</si>
  <si>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</si>
  <si>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</si>
  <si>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</si>
  <si>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</si>
  <si>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</si>
  <si>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</si>
  <si>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</si>
  <si>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</si>
  <si>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</si>
  <si>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</si>
  <si>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</si>
  <si>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31.03.2015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</si>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</sst>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18" sqref="E11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235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3"/>
      <c r="C3" s="184" t="s">
        <v>0</v>
      </c>
      <c r="D3" s="181" t="s">
        <v>216</v>
      </c>
      <c r="E3" s="40"/>
      <c r="F3" s="182" t="s">
        <v>107</v>
      </c>
      <c r="G3" s="217"/>
      <c r="H3" s="217"/>
      <c r="I3" s="217"/>
      <c r="J3" s="218"/>
      <c r="K3" s="114"/>
      <c r="L3" s="114"/>
      <c r="M3" s="219" t="s">
        <v>231</v>
      </c>
      <c r="N3" s="220" t="s">
        <v>232</v>
      </c>
      <c r="O3" s="220"/>
      <c r="P3" s="220"/>
      <c r="Q3" s="220"/>
      <c r="R3" s="220"/>
    </row>
    <row r="4" spans="1:18" ht="22.5" customHeight="1">
      <c r="A4" s="215"/>
      <c r="B4" s="183"/>
      <c r="C4" s="184"/>
      <c r="D4" s="181"/>
      <c r="E4" s="221" t="s">
        <v>228</v>
      </c>
      <c r="F4" s="207" t="s">
        <v>116</v>
      </c>
      <c r="G4" s="209" t="s">
        <v>229</v>
      </c>
      <c r="H4" s="211" t="s">
        <v>230</v>
      </c>
      <c r="I4" s="204" t="s">
        <v>217</v>
      </c>
      <c r="J4" s="200" t="s">
        <v>218</v>
      </c>
      <c r="K4" s="116" t="s">
        <v>172</v>
      </c>
      <c r="L4" s="121" t="s">
        <v>171</v>
      </c>
      <c r="M4" s="200"/>
      <c r="N4" s="202" t="s">
        <v>236</v>
      </c>
      <c r="O4" s="204" t="s">
        <v>136</v>
      </c>
      <c r="P4" s="206" t="s">
        <v>135</v>
      </c>
      <c r="Q4" s="122" t="s">
        <v>172</v>
      </c>
      <c r="R4" s="123" t="s">
        <v>171</v>
      </c>
    </row>
    <row r="5" spans="1:19" ht="92.25" customHeight="1">
      <c r="A5" s="216"/>
      <c r="B5" s="183"/>
      <c r="C5" s="184"/>
      <c r="D5" s="181"/>
      <c r="E5" s="222"/>
      <c r="F5" s="208"/>
      <c r="G5" s="210"/>
      <c r="H5" s="212"/>
      <c r="I5" s="205"/>
      <c r="J5" s="201"/>
      <c r="K5" s="197" t="s">
        <v>233</v>
      </c>
      <c r="L5" s="198"/>
      <c r="M5" s="201"/>
      <c r="N5" s="203"/>
      <c r="O5" s="205"/>
      <c r="P5" s="206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137275.53999999998</v>
      </c>
      <c r="G8" s="18">
        <f aca="true" t="shared" si="0" ref="G8:G42">F8-E8</f>
        <v>1616.9599999999919</v>
      </c>
      <c r="H8" s="45">
        <f>F8/E8*100</f>
        <v>101.19193345529638</v>
      </c>
      <c r="I8" s="31">
        <f aca="true" t="shared" si="1" ref="I8:I42">F8-D8</f>
        <v>-380153.46</v>
      </c>
      <c r="J8" s="31">
        <f aca="true" t="shared" si="2" ref="J8:J14">F8/D8*100</f>
        <v>26.53031430399146</v>
      </c>
      <c r="K8" s="18">
        <f>K10+K19+K30+K33+K34+K42</f>
        <v>24476.42199999999</v>
      </c>
      <c r="L8" s="18"/>
      <c r="M8" s="18">
        <f>M10+M19+M30+M33+M34+M42</f>
        <v>56550.58</v>
      </c>
      <c r="N8" s="18">
        <f>N10+N19+N30+N33+N34+N42</f>
        <v>45921.14</v>
      </c>
      <c r="O8" s="31">
        <f aca="true" t="shared" si="3" ref="O8:O45">N8-M8</f>
        <v>-10629.440000000002</v>
      </c>
      <c r="P8" s="31">
        <f>F8/M8*100</f>
        <v>242.74824413825638</v>
      </c>
      <c r="Q8" s="31">
        <f>N8-33748.16</f>
        <v>12172.979999999996</v>
      </c>
      <c r="R8" s="125">
        <f>N8/33748.16</f>
        <v>1.360700553748708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76601.12</v>
      </c>
      <c r="G9" s="18">
        <f t="shared" si="0"/>
        <v>76601.12</v>
      </c>
      <c r="H9" s="16"/>
      <c r="I9" s="50">
        <f t="shared" si="1"/>
        <v>-236088.88</v>
      </c>
      <c r="J9" s="50">
        <f t="shared" si="2"/>
        <v>24.497463941923307</v>
      </c>
      <c r="K9" s="50"/>
      <c r="L9" s="50"/>
      <c r="M9" s="16">
        <f>M10+M17</f>
        <v>31584.579999999994</v>
      </c>
      <c r="N9" s="16">
        <f>N10+N17</f>
        <v>26913.629999999997</v>
      </c>
      <c r="O9" s="31">
        <f t="shared" si="3"/>
        <v>-4670.949999999997</v>
      </c>
      <c r="P9" s="50">
        <f>F9/M9*100</f>
        <v>242.52695460886295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76601.12</v>
      </c>
      <c r="G10" s="43">
        <f t="shared" si="0"/>
        <v>87.13999999999942</v>
      </c>
      <c r="H10" s="35">
        <f aca="true" t="shared" si="4" ref="H10:H42">F10/E10*100</f>
        <v>100.113887684316</v>
      </c>
      <c r="I10" s="50">
        <f t="shared" si="1"/>
        <v>-236088.88</v>
      </c>
      <c r="J10" s="50">
        <f t="shared" si="2"/>
        <v>24.497463941923307</v>
      </c>
      <c r="K10" s="132">
        <f>F10-86046.61/75*60</f>
        <v>7763.831999999995</v>
      </c>
      <c r="L10" s="132">
        <f>F10/(86046.61/75*60)*100</f>
        <v>111.27852683563013</v>
      </c>
      <c r="M10" s="35">
        <f>E10-лютий!E10</f>
        <v>31584.579999999994</v>
      </c>
      <c r="N10" s="35">
        <f>F10-лютий!F10</f>
        <v>26913.629999999997</v>
      </c>
      <c r="O10" s="47">
        <f t="shared" si="3"/>
        <v>-4670.949999999997</v>
      </c>
      <c r="P10" s="50">
        <f aca="true" t="shared" si="5" ref="P10:P42">N10/M10*100</f>
        <v>85.21129614514426</v>
      </c>
      <c r="Q10" s="132">
        <f>N10-26568.11</f>
        <v>345.5199999999968</v>
      </c>
      <c r="R10" s="133">
        <f>N10/26568.11</f>
        <v>1.0130050650949578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-1020.05</v>
      </c>
      <c r="G19" s="43">
        <f t="shared" si="0"/>
        <v>-1191.25</v>
      </c>
      <c r="H19" s="35"/>
      <c r="I19" s="50">
        <f t="shared" si="1"/>
        <v>-1520.05</v>
      </c>
      <c r="J19" s="50">
        <f aca="true" t="shared" si="6" ref="J19:J30">F19/D19*100</f>
        <v>-204.01</v>
      </c>
      <c r="K19" s="50">
        <f>F19-815.68</f>
        <v>-1835.73</v>
      </c>
      <c r="L19" s="50">
        <f>F19/815.68*100</f>
        <v>-125.05516869360534</v>
      </c>
      <c r="M19" s="35">
        <f>E19-лютий!E19</f>
        <v>171.2</v>
      </c>
      <c r="N19" s="35">
        <f>F19-лютий!F19</f>
        <v>-43.569999999999936</v>
      </c>
      <c r="O19" s="47">
        <f t="shared" si="3"/>
        <v>-214.76999999999992</v>
      </c>
      <c r="P19" s="50"/>
      <c r="Q19" s="50">
        <f>N19-358.81</f>
        <v>-402.37999999999994</v>
      </c>
      <c r="R19" s="126">
        <f>N19/358.81</f>
        <v>-0.12142916864078464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10015.8</v>
      </c>
      <c r="G33" s="43">
        <f t="shared" si="0"/>
        <v>75.79999999999927</v>
      </c>
      <c r="H33" s="35">
        <f t="shared" si="4"/>
        <v>100.76257545271629</v>
      </c>
      <c r="I33" s="50">
        <f t="shared" si="1"/>
        <v>-19934.2</v>
      </c>
      <c r="J33" s="178">
        <f>F33/D33*100</f>
        <v>33.44173622704507</v>
      </c>
      <c r="K33" s="179">
        <f>F33-0</f>
        <v>10015.8</v>
      </c>
      <c r="L33" s="180"/>
      <c r="M33" s="35">
        <f>E33-лютий!E33</f>
        <v>7220</v>
      </c>
      <c r="N33" s="35">
        <f>F33-лютий!F33</f>
        <v>6490.679999999999</v>
      </c>
      <c r="O33" s="47">
        <f t="shared" si="3"/>
        <v>-729.3200000000006</v>
      </c>
      <c r="P33" s="50">
        <f t="shared" si="5"/>
        <v>89.89861495844875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49662.969999999994</v>
      </c>
      <c r="G34" s="43">
        <f t="shared" si="0"/>
        <v>2627.969999999994</v>
      </c>
      <c r="H34" s="35">
        <f t="shared" si="4"/>
        <v>105.5872648028064</v>
      </c>
      <c r="I34" s="50">
        <f t="shared" si="1"/>
        <v>-117107.03</v>
      </c>
      <c r="J34" s="178">
        <f aca="true" t="shared" si="11" ref="J34:J42">F34/D34*100</f>
        <v>29.779318822330154</v>
      </c>
      <c r="K34" s="178">
        <f>K35+K39+K40+K41</f>
        <v>9123.479999999996</v>
      </c>
      <c r="L34" s="136"/>
      <c r="M34" s="35">
        <f>E34-лютий!E34</f>
        <v>17574.5</v>
      </c>
      <c r="N34" s="35">
        <f>F34-лютий!F34</f>
        <v>12559.739999999998</v>
      </c>
      <c r="O34" s="47">
        <f t="shared" si="3"/>
        <v>-5014.760000000002</v>
      </c>
      <c r="P34" s="50">
        <f t="shared" si="5"/>
        <v>71.46570314944948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24478.07</v>
      </c>
      <c r="G35" s="43">
        <f t="shared" si="0"/>
        <v>691.0699999999997</v>
      </c>
      <c r="H35" s="35">
        <f t="shared" si="4"/>
        <v>102.90524235927188</v>
      </c>
      <c r="I35" s="50">
        <f t="shared" si="1"/>
        <v>-73721.93</v>
      </c>
      <c r="J35" s="178">
        <f t="shared" si="11"/>
        <v>24.926751527494908</v>
      </c>
      <c r="K35" s="178">
        <f>K36+K37+K38</f>
        <v>5287.329999999999</v>
      </c>
      <c r="L35" s="136"/>
      <c r="M35" s="35">
        <f>E35-лютий!E35</f>
        <v>10032.5</v>
      </c>
      <c r="N35" s="35">
        <f>F35-лютий!F35</f>
        <v>9211.279999999999</v>
      </c>
      <c r="O35" s="47">
        <f t="shared" si="3"/>
        <v>-821.2200000000012</v>
      </c>
      <c r="P35" s="50">
        <f t="shared" si="5"/>
        <v>91.81440318963368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525.66</v>
      </c>
      <c r="G36" s="135">
        <f t="shared" si="0"/>
        <v>415.65999999999997</v>
      </c>
      <c r="H36" s="137">
        <f t="shared" si="4"/>
        <v>477.8727272727273</v>
      </c>
      <c r="I36" s="136">
        <f t="shared" si="1"/>
        <v>-474.34000000000003</v>
      </c>
      <c r="J36" s="136">
        <f t="shared" si="11"/>
        <v>52.566</v>
      </c>
      <c r="K36" s="136">
        <f>F36-101.47</f>
        <v>424.18999999999994</v>
      </c>
      <c r="L36" s="136">
        <f>F36/101.47*100</f>
        <v>518.0447422883611</v>
      </c>
      <c r="M36" s="35">
        <f>E36-лютий!E36</f>
        <v>5.5</v>
      </c>
      <c r="N36" s="35">
        <f>F36-лютий!F36</f>
        <v>219.64999999999998</v>
      </c>
      <c r="O36" s="47">
        <f t="shared" si="3"/>
        <v>214.14999999999998</v>
      </c>
      <c r="P36" s="50">
        <f t="shared" si="5"/>
        <v>3993.636363636363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23914.71</v>
      </c>
      <c r="G38" s="135">
        <f t="shared" si="0"/>
        <v>237.70999999999913</v>
      </c>
      <c r="H38" s="137">
        <f t="shared" si="4"/>
        <v>101.00397009756304</v>
      </c>
      <c r="I38" s="136">
        <f t="shared" si="1"/>
        <v>-71785.29000000001</v>
      </c>
      <c r="J38" s="136">
        <f t="shared" si="11"/>
        <v>24.989247648902822</v>
      </c>
      <c r="K38" s="139">
        <f>F38-19089.27</f>
        <v>4825.439999999999</v>
      </c>
      <c r="L38" s="139">
        <f>F38/19089.27*100</f>
        <v>125.27828460700697</v>
      </c>
      <c r="M38" s="35">
        <f>E38-лютий!E38</f>
        <v>10027</v>
      </c>
      <c r="N38" s="35">
        <f>F38-лютий!F38</f>
        <v>8960.179999999998</v>
      </c>
      <c r="O38" s="47">
        <f t="shared" si="3"/>
        <v>-1066.8200000000015</v>
      </c>
      <c r="P38" s="50">
        <f t="shared" si="5"/>
        <v>89.36052657823875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16.43</v>
      </c>
      <c r="G40" s="43">
        <f t="shared" si="0"/>
        <v>16.43</v>
      </c>
      <c r="H40" s="35"/>
      <c r="I40" s="50">
        <f t="shared" si="1"/>
        <v>16.43</v>
      </c>
      <c r="J40" s="136"/>
      <c r="K40" s="178">
        <f>F40-1634.06</f>
        <v>-1617.6299999999999</v>
      </c>
      <c r="L40" s="178">
        <f>F40/1634.06*100</f>
        <v>1.0054710353352998</v>
      </c>
      <c r="M40" s="35">
        <f>E40-лютий!E40</f>
        <v>0</v>
      </c>
      <c r="N40" s="35">
        <f>F40-лютий!F40</f>
        <v>-71.24000000000001</v>
      </c>
      <c r="O40" s="47">
        <f t="shared" si="3"/>
        <v>-71.24000000000001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25150.85</v>
      </c>
      <c r="G41" s="43">
        <f t="shared" si="0"/>
        <v>1910.8499999999985</v>
      </c>
      <c r="H41" s="35">
        <f t="shared" si="4"/>
        <v>108.22224612736659</v>
      </c>
      <c r="I41" s="50">
        <f t="shared" si="1"/>
        <v>-43349.15</v>
      </c>
      <c r="J41" s="178">
        <f t="shared" si="11"/>
        <v>36.71656934306569</v>
      </c>
      <c r="K41" s="132">
        <f>F41-19695.04</f>
        <v>5455.809999999998</v>
      </c>
      <c r="L41" s="132">
        <f>F41/19695.04*100</f>
        <v>127.7014415812306</v>
      </c>
      <c r="M41" s="35">
        <f>E41-лютий!E41</f>
        <v>7540</v>
      </c>
      <c r="N41" s="35">
        <f>F41-лютий!F41</f>
        <v>3416.2999999999993</v>
      </c>
      <c r="O41" s="47">
        <f t="shared" si="3"/>
        <v>-4123.700000000001</v>
      </c>
      <c r="P41" s="50">
        <f t="shared" si="5"/>
        <v>45.30901856763925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7537.410000000001</v>
      </c>
      <c r="G48" s="44">
        <f aca="true" t="shared" si="12" ref="G48:G81">F48-E48</f>
        <v>4501.410000000001</v>
      </c>
      <c r="H48" s="45">
        <f aca="true" t="shared" si="13" ref="H48:H59">F48/E48*100</f>
        <v>248.26778656126484</v>
      </c>
      <c r="I48" s="31">
        <f aca="true" t="shared" si="14" ref="I48:I81">F48-D48</f>
        <v>-5029.69</v>
      </c>
      <c r="J48" s="31">
        <f aca="true" t="shared" si="15" ref="J48:J66">F48/D48*100</f>
        <v>59.97732173691623</v>
      </c>
      <c r="K48" s="18">
        <f>K51+K60+K61+K62+K63+K71+K72+K73+K75+K79+K70</f>
        <v>4400.99</v>
      </c>
      <c r="L48" s="18"/>
      <c r="M48" s="18">
        <f>M51+M60+M61+M62+M63+M71+M72+M73+M75+M79+M70+M69</f>
        <v>955.5</v>
      </c>
      <c r="N48" s="18">
        <f>N51+N60+N61+N62+N63+N71+N72+N73+N75+N79+N70+N69</f>
        <v>2653.71</v>
      </c>
      <c r="O48" s="49">
        <f aca="true" t="shared" si="16" ref="O48:O81">N48-M48</f>
        <v>1698.21</v>
      </c>
      <c r="P48" s="31">
        <f>N48/M48*100</f>
        <v>277.7299843014129</v>
      </c>
      <c r="Q48" s="31">
        <f>N48-1017.63</f>
        <v>1636.08</v>
      </c>
      <c r="R48" s="127">
        <f>N48/1017.63</f>
        <v>2.6077356210017393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29.06</v>
      </c>
      <c r="G63" s="43">
        <f t="shared" si="12"/>
        <v>4.059999999999999</v>
      </c>
      <c r="H63" s="35">
        <f>F63/E63*100</f>
        <v>116.23999999999998</v>
      </c>
      <c r="I63" s="50">
        <f t="shared" si="14"/>
        <v>-110.94</v>
      </c>
      <c r="J63" s="50">
        <v>10</v>
      </c>
      <c r="K63" s="50">
        <f>F63-26.77</f>
        <v>2.289999999999999</v>
      </c>
      <c r="L63" s="50">
        <f>F63/26.77*100</f>
        <v>108.55435188644005</v>
      </c>
      <c r="M63" s="35">
        <f>E63-лютий!E63</f>
        <v>9</v>
      </c>
      <c r="N63" s="35">
        <f>F63-лютий!F63</f>
        <v>12.23</v>
      </c>
      <c r="O63" s="47">
        <f t="shared" si="16"/>
        <v>3.2300000000000004</v>
      </c>
      <c r="P63" s="50">
        <f>N63/M63*100</f>
        <v>135.8888888888889</v>
      </c>
      <c r="Q63" s="50">
        <f>N63-9.02</f>
        <v>3.210000000000001</v>
      </c>
      <c r="R63" s="126">
        <f>N63/9.02</f>
        <v>1.3558758314855877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2481.29</v>
      </c>
      <c r="G70" s="43">
        <f t="shared" si="12"/>
        <v>2481.29</v>
      </c>
      <c r="H70" s="35"/>
      <c r="I70" s="50">
        <f t="shared" si="14"/>
        <v>2481.29</v>
      </c>
      <c r="J70" s="50"/>
      <c r="K70" s="50">
        <f>F70-0</f>
        <v>2481.29</v>
      </c>
      <c r="L70" s="50"/>
      <c r="M70" s="35">
        <f>E70-лютий!E70</f>
        <v>0</v>
      </c>
      <c r="N70" s="35">
        <f>F70-лютий!F70</f>
        <v>921.8199999999999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2148.72</v>
      </c>
      <c r="G72" s="43">
        <f t="shared" si="12"/>
        <v>1918.7199999999998</v>
      </c>
      <c r="H72" s="35">
        <f>F72/E72*100</f>
        <v>934.2260869565216</v>
      </c>
      <c r="I72" s="50">
        <f t="shared" si="14"/>
        <v>1048.7199999999998</v>
      </c>
      <c r="J72" s="50">
        <v>90</v>
      </c>
      <c r="K72" s="50">
        <f>F72-198.87</f>
        <v>1949.85</v>
      </c>
      <c r="L72" s="50">
        <f>F72/198.87*100</f>
        <v>1080.4646251319957</v>
      </c>
      <c r="M72" s="35">
        <f>E72-лютий!E72</f>
        <v>81</v>
      </c>
      <c r="N72" s="35">
        <f>F72-лютий!F72</f>
        <v>750.2499999999998</v>
      </c>
      <c r="O72" s="47">
        <f t="shared" si="16"/>
        <v>669.2499999999998</v>
      </c>
      <c r="P72" s="50">
        <f>N72/M72*100</f>
        <v>926.2345679012343</v>
      </c>
      <c r="Q72" s="50">
        <f>N72-79.51</f>
        <v>670.7399999999998</v>
      </c>
      <c r="R72" s="126">
        <f>N72/79.51</f>
        <v>9.435920010061624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930.85</v>
      </c>
      <c r="G75" s="43">
        <f t="shared" si="12"/>
        <v>-19.149999999999977</v>
      </c>
      <c r="H75" s="35">
        <f>F75/E75*100</f>
        <v>97.98421052631579</v>
      </c>
      <c r="I75" s="50">
        <f t="shared" si="14"/>
        <v>-3269.15</v>
      </c>
      <c r="J75" s="50">
        <f>F75/D75*100</f>
        <v>22.163095238095238</v>
      </c>
      <c r="K75" s="50">
        <f>F75-913.85</f>
        <v>17</v>
      </c>
      <c r="L75" s="50">
        <f>F75/913.85*100</f>
        <v>101.86026153088581</v>
      </c>
      <c r="M75" s="35">
        <f>E75-лютий!E75</f>
        <v>300</v>
      </c>
      <c r="N75" s="35">
        <f>F75-лютий!F75</f>
        <v>340.61</v>
      </c>
      <c r="O75" s="47">
        <f t="shared" si="16"/>
        <v>40.610000000000014</v>
      </c>
      <c r="P75" s="50">
        <f t="shared" si="20"/>
        <v>113.53666666666666</v>
      </c>
      <c r="Q75" s="50">
        <f>N75-277.38</f>
        <v>63.23000000000002</v>
      </c>
      <c r="R75" s="126">
        <f>N75/277.38</f>
        <v>1.2279544307448267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232.6</v>
      </c>
      <c r="G78" s="135">
        <f t="shared" si="12"/>
        <v>232.6</v>
      </c>
      <c r="H78" s="137"/>
      <c r="I78" s="136">
        <f t="shared" si="14"/>
        <v>232.6</v>
      </c>
      <c r="J78" s="136"/>
      <c r="K78" s="136">
        <f>F78-172.57</f>
        <v>60.03</v>
      </c>
      <c r="L78" s="138">
        <f>F78/172.57*100</f>
        <v>134.78588398910588</v>
      </c>
      <c r="M78" s="35">
        <f>E78-лютий!E78</f>
        <v>0</v>
      </c>
      <c r="N78" s="35">
        <f>F78-лютий!F78</f>
        <v>89.9</v>
      </c>
      <c r="O78" s="138">
        <f t="shared" si="16"/>
        <v>89.9</v>
      </c>
      <c r="P78" s="136"/>
      <c r="Q78" s="50">
        <f>N78-64.93</f>
        <v>24.97</v>
      </c>
      <c r="R78" s="126">
        <f>N78/64.93</f>
        <v>1.3845679963037116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144819.06999999998</v>
      </c>
      <c r="G82" s="44">
        <f>F82-E82</f>
        <v>6118.289999999979</v>
      </c>
      <c r="H82" s="45">
        <f>F82/E82*100</f>
        <v>104.41114318174705</v>
      </c>
      <c r="I82" s="31">
        <f>F82-D82</f>
        <v>-385203.53</v>
      </c>
      <c r="J82" s="31">
        <f>F82/D82*100</f>
        <v>27.3231877282214</v>
      </c>
      <c r="K82" s="31">
        <f>K8+K48+K80+K81</f>
        <v>28877.581999999988</v>
      </c>
      <c r="L82" s="31"/>
      <c r="M82" s="18">
        <f>M8+M48+M80+M81</f>
        <v>57508.28</v>
      </c>
      <c r="N82" s="18">
        <f>N8+N48+N80+N81</f>
        <v>48577.65</v>
      </c>
      <c r="O82" s="49">
        <f>N82-M82</f>
        <v>-8930.629999999997</v>
      </c>
      <c r="P82" s="31">
        <f>N82/M82*100</f>
        <v>84.47070578358455</v>
      </c>
      <c r="Q82" s="31">
        <f>N82-34768</f>
        <v>13809.650000000001</v>
      </c>
      <c r="R82" s="171">
        <f>N82/34768</f>
        <v>1.3971942590888173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0.13</v>
      </c>
      <c r="G90" s="43">
        <f t="shared" si="21"/>
        <v>0.13</v>
      </c>
      <c r="H90" s="35"/>
      <c r="I90" s="53">
        <f t="shared" si="22"/>
        <v>-2499.87</v>
      </c>
      <c r="J90" s="53">
        <f t="shared" si="25"/>
        <v>0.005200000000000001</v>
      </c>
      <c r="K90" s="53">
        <f>F90-518.63</f>
        <v>-518.5</v>
      </c>
      <c r="L90" s="53">
        <f>F90/518.63*100</f>
        <v>0.025066039372963384</v>
      </c>
      <c r="M90" s="35">
        <f>E90-лютий!E90</f>
        <v>0</v>
      </c>
      <c r="N90" s="35">
        <f>F90-лютий!F90</f>
        <v>0.05</v>
      </c>
      <c r="O90" s="47">
        <f t="shared" si="23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1391.02</v>
      </c>
      <c r="G91" s="43">
        <f t="shared" si="21"/>
        <v>852.89</v>
      </c>
      <c r="H91" s="35">
        <f t="shared" si="24"/>
        <v>258.4914425882222</v>
      </c>
      <c r="I91" s="53">
        <f t="shared" si="22"/>
        <v>-10184.98</v>
      </c>
      <c r="J91" s="53">
        <f t="shared" si="25"/>
        <v>12.016413268832066</v>
      </c>
      <c r="K91" s="53">
        <f>F91-1143.96</f>
        <v>247.05999999999995</v>
      </c>
      <c r="L91" s="53">
        <f>F91/1143.96*100</f>
        <v>121.59690898283155</v>
      </c>
      <c r="M91" s="35">
        <f>E91-лютий!E91</f>
        <v>182.152</v>
      </c>
      <c r="N91" s="35">
        <f>F91-лютий!F91</f>
        <v>976.9</v>
      </c>
      <c r="O91" s="47">
        <f t="shared" si="23"/>
        <v>794.748</v>
      </c>
      <c r="P91" s="53">
        <f>N91/M91*100</f>
        <v>536.3103342263604</v>
      </c>
      <c r="Q91" s="53">
        <f>N91-450.01</f>
        <v>526.89</v>
      </c>
      <c r="R91" s="129">
        <f>N91/450.01</f>
        <v>2.1708406479856004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1402.21</v>
      </c>
      <c r="G93" s="55">
        <f t="shared" si="21"/>
        <v>567.8800000000001</v>
      </c>
      <c r="H93" s="65">
        <f t="shared" si="24"/>
        <v>168.0641952225139</v>
      </c>
      <c r="I93" s="54">
        <f t="shared" si="22"/>
        <v>-15673.79</v>
      </c>
      <c r="J93" s="54">
        <f t="shared" si="25"/>
        <v>8.211583509018505</v>
      </c>
      <c r="K93" s="54">
        <f>F93-1606.47</f>
        <v>-204.26</v>
      </c>
      <c r="L93" s="54">
        <f>F93/1606.47*100</f>
        <v>87.28516561155826</v>
      </c>
      <c r="M93" s="55">
        <f>M90+M91+M92</f>
        <v>330.25199999999995</v>
      </c>
      <c r="N93" s="55">
        <f>N90+N91+N92</f>
        <v>989.6099999999999</v>
      </c>
      <c r="O93" s="54">
        <f t="shared" si="23"/>
        <v>659.358</v>
      </c>
      <c r="P93" s="54">
        <f>N93/M93*100</f>
        <v>299.6529922604557</v>
      </c>
      <c r="Q93" s="54">
        <f>N93-7985.28</f>
        <v>-6995.67</v>
      </c>
      <c r="R93" s="173">
        <f>N93/7985.28</f>
        <v>0.12392927987496993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1401.09</v>
      </c>
      <c r="G100" s="44">
        <f>F100-E100</f>
        <v>551.17</v>
      </c>
      <c r="H100" s="45">
        <f>F100/E100*100</f>
        <v>164.8496329066265</v>
      </c>
      <c r="I100" s="31">
        <f>F100-D100</f>
        <v>-15770.91</v>
      </c>
      <c r="J100" s="31">
        <f>F100/D100*100</f>
        <v>8.159154437456325</v>
      </c>
      <c r="K100" s="31">
        <f>K88+K93+K98+K99</f>
        <v>-217.89000000000001</v>
      </c>
      <c r="L100" s="31"/>
      <c r="M100" s="27">
        <f>M88+M99+M93+M98</f>
        <v>343.25199999999995</v>
      </c>
      <c r="N100" s="27">
        <f>N88+N99+N93+N98</f>
        <v>1001.6899999999999</v>
      </c>
      <c r="O100" s="31">
        <f>N100-M100</f>
        <v>658.438</v>
      </c>
      <c r="P100" s="31">
        <f>N100/M100*100</f>
        <v>291.82349993590714</v>
      </c>
      <c r="Q100" s="31">
        <f>N100-8104.96</f>
        <v>-7103.27</v>
      </c>
      <c r="R100" s="127">
        <f>N100/8104.96</f>
        <v>0.12358975244788376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146220.15999999997</v>
      </c>
      <c r="G101" s="44">
        <f>F101-E101</f>
        <v>6669.459999999963</v>
      </c>
      <c r="H101" s="45">
        <f>F101/E101*100</f>
        <v>104.77923794004613</v>
      </c>
      <c r="I101" s="31">
        <f>F101-D101</f>
        <v>-400974.44</v>
      </c>
      <c r="J101" s="31">
        <f>F101/D101*100</f>
        <v>26.721784169653716</v>
      </c>
      <c r="K101" s="31">
        <f>K82+K100</f>
        <v>28659.69199999999</v>
      </c>
      <c r="L101" s="31"/>
      <c r="M101" s="18">
        <f>M82+M100</f>
        <v>57851.532</v>
      </c>
      <c r="N101" s="18">
        <f>N82+N100</f>
        <v>49579.340000000004</v>
      </c>
      <c r="O101" s="31">
        <f>N101-M101</f>
        <v>-8272.191999999995</v>
      </c>
      <c r="P101" s="31">
        <f>N101/M101*100</f>
        <v>85.70099751204515</v>
      </c>
      <c r="Q101" s="31">
        <f>N101-42872.96</f>
        <v>6706.380000000005</v>
      </c>
      <c r="R101" s="127">
        <f>N101/42872.96</f>
        <v>1.1564244689426624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1</v>
      </c>
      <c r="D103" s="4" t="s">
        <v>118</v>
      </c>
    </row>
    <row r="104" spans="2:17" ht="31.5">
      <c r="B104" s="71" t="s">
        <v>154</v>
      </c>
      <c r="C104" s="34">
        <f>IF(O82&lt;0,ABS(O82/C103),0)</f>
        <v>8930.629999999997</v>
      </c>
      <c r="D104" s="4" t="s">
        <v>104</v>
      </c>
      <c r="G104" s="199"/>
      <c r="H104" s="199"/>
      <c r="I104" s="199"/>
      <c r="J104" s="19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42093</v>
      </c>
      <c r="D105" s="34">
        <v>8025</v>
      </c>
      <c r="N105" s="194"/>
      <c r="O105" s="194"/>
    </row>
    <row r="106" spans="3:15" ht="15.75">
      <c r="C106" s="111">
        <v>42090</v>
      </c>
      <c r="D106" s="34">
        <v>4282.6</v>
      </c>
      <c r="F106" s="155" t="s">
        <v>166</v>
      </c>
      <c r="G106" s="185"/>
      <c r="H106" s="185"/>
      <c r="I106" s="177"/>
      <c r="J106" s="192"/>
      <c r="K106" s="192"/>
      <c r="L106" s="192"/>
      <c r="M106" s="192"/>
      <c r="N106" s="194"/>
      <c r="O106" s="194"/>
    </row>
    <row r="107" spans="3:15" ht="15.75" customHeight="1">
      <c r="C107" s="111">
        <v>42089</v>
      </c>
      <c r="D107" s="34">
        <v>1799</v>
      </c>
      <c r="G107" s="191" t="s">
        <v>151</v>
      </c>
      <c r="H107" s="191"/>
      <c r="I107" s="106">
        <v>8909.73221</v>
      </c>
      <c r="J107" s="193"/>
      <c r="K107" s="193"/>
      <c r="L107" s="193"/>
      <c r="M107" s="193"/>
      <c r="N107" s="194"/>
      <c r="O107" s="194"/>
    </row>
    <row r="108" spans="7:13" ht="15.75" customHeight="1">
      <c r="G108" s="195" t="s">
        <v>234</v>
      </c>
      <c r="H108" s="196"/>
      <c r="I108" s="103">
        <v>0</v>
      </c>
      <c r="J108" s="192"/>
      <c r="K108" s="192"/>
      <c r="L108" s="192"/>
      <c r="M108" s="192"/>
    </row>
    <row r="109" spans="2:13" ht="18.75" customHeight="1">
      <c r="B109" s="189" t="s">
        <v>160</v>
      </c>
      <c r="C109" s="190"/>
      <c r="D109" s="108">
        <v>133577.17320999998</v>
      </c>
      <c r="E109" s="73"/>
      <c r="F109" s="156" t="s">
        <v>147</v>
      </c>
      <c r="G109" s="191" t="s">
        <v>149</v>
      </c>
      <c r="H109" s="191"/>
      <c r="I109" s="107">
        <v>124667.441</v>
      </c>
      <c r="J109" s="192"/>
      <c r="K109" s="192"/>
      <c r="L109" s="192"/>
      <c r="M109" s="192"/>
    </row>
    <row r="110" spans="7:12" ht="9.75" customHeight="1">
      <c r="G110" s="185"/>
      <c r="H110" s="185"/>
      <c r="I110" s="90"/>
      <c r="J110" s="91"/>
      <c r="K110" s="91"/>
      <c r="L110" s="91"/>
    </row>
    <row r="111" spans="2:12" ht="22.5" customHeight="1" hidden="1">
      <c r="B111" s="186" t="s">
        <v>167</v>
      </c>
      <c r="C111" s="187"/>
      <c r="D111" s="110">
        <v>0</v>
      </c>
      <c r="E111" s="70" t="s">
        <v>104</v>
      </c>
      <c r="G111" s="185"/>
      <c r="H111" s="185"/>
      <c r="I111" s="90"/>
      <c r="J111" s="91"/>
      <c r="K111" s="91"/>
      <c r="L111" s="91"/>
    </row>
    <row r="112" spans="4:15" ht="15.75">
      <c r="D112" s="105"/>
      <c r="N112" s="185"/>
      <c r="O112" s="185"/>
    </row>
    <row r="113" spans="4:15" ht="15.75">
      <c r="D113" s="104"/>
      <c r="I113" s="34"/>
      <c r="N113" s="188"/>
      <c r="O113" s="188"/>
    </row>
    <row r="114" spans="14:15" ht="15.75">
      <c r="N114" s="185"/>
      <c r="O114" s="185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7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227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3" t="s">
        <v>205</v>
      </c>
      <c r="C3" s="184" t="s">
        <v>0</v>
      </c>
      <c r="D3" s="181" t="s">
        <v>216</v>
      </c>
      <c r="E3" s="40"/>
      <c r="F3" s="182" t="s">
        <v>107</v>
      </c>
      <c r="G3" s="217"/>
      <c r="H3" s="217"/>
      <c r="I3" s="217"/>
      <c r="J3" s="218"/>
      <c r="K3" s="114"/>
      <c r="L3" s="114"/>
      <c r="M3" s="219" t="s">
        <v>221</v>
      </c>
      <c r="N3" s="220" t="s">
        <v>202</v>
      </c>
      <c r="O3" s="220"/>
      <c r="P3" s="220"/>
      <c r="Q3" s="220"/>
      <c r="R3" s="220"/>
    </row>
    <row r="4" spans="1:18" ht="22.5" customHeight="1">
      <c r="A4" s="215"/>
      <c r="B4" s="183"/>
      <c r="C4" s="184"/>
      <c r="D4" s="181"/>
      <c r="E4" s="221" t="s">
        <v>199</v>
      </c>
      <c r="F4" s="207" t="s">
        <v>116</v>
      </c>
      <c r="G4" s="209" t="s">
        <v>200</v>
      </c>
      <c r="H4" s="211" t="s">
        <v>201</v>
      </c>
      <c r="I4" s="204" t="s">
        <v>217</v>
      </c>
      <c r="J4" s="200" t="s">
        <v>218</v>
      </c>
      <c r="K4" s="116" t="s">
        <v>172</v>
      </c>
      <c r="L4" s="121" t="s">
        <v>171</v>
      </c>
      <c r="M4" s="200"/>
      <c r="N4" s="202" t="s">
        <v>226</v>
      </c>
      <c r="O4" s="204" t="s">
        <v>136</v>
      </c>
      <c r="P4" s="206" t="s">
        <v>135</v>
      </c>
      <c r="Q4" s="122" t="s">
        <v>172</v>
      </c>
      <c r="R4" s="123" t="s">
        <v>171</v>
      </c>
    </row>
    <row r="5" spans="1:19" ht="92.25" customHeight="1">
      <c r="A5" s="216"/>
      <c r="B5" s="183"/>
      <c r="C5" s="184"/>
      <c r="D5" s="181"/>
      <c r="E5" s="222"/>
      <c r="F5" s="208"/>
      <c r="G5" s="210"/>
      <c r="H5" s="212"/>
      <c r="I5" s="205"/>
      <c r="J5" s="201"/>
      <c r="K5" s="197" t="s">
        <v>224</v>
      </c>
      <c r="L5" s="198"/>
      <c r="M5" s="201"/>
      <c r="N5" s="203"/>
      <c r="O5" s="205"/>
      <c r="P5" s="206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199"/>
      <c r="H104" s="199"/>
      <c r="I104" s="199"/>
      <c r="J104" s="19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4"/>
      <c r="O105" s="194"/>
    </row>
    <row r="106" spans="3:15" ht="15.75">
      <c r="C106" s="111">
        <v>42061</v>
      </c>
      <c r="D106" s="34">
        <v>6003.3</v>
      </c>
      <c r="F106" s="155" t="s">
        <v>166</v>
      </c>
      <c r="G106" s="185"/>
      <c r="H106" s="185"/>
      <c r="I106" s="177"/>
      <c r="J106" s="192"/>
      <c r="K106" s="192"/>
      <c r="L106" s="192"/>
      <c r="M106" s="192"/>
      <c r="N106" s="194"/>
      <c r="O106" s="194"/>
    </row>
    <row r="107" spans="3:15" ht="15.75" customHeight="1">
      <c r="C107" s="111">
        <v>42060</v>
      </c>
      <c r="D107" s="34">
        <v>1551.3</v>
      </c>
      <c r="G107" s="191" t="s">
        <v>151</v>
      </c>
      <c r="H107" s="191"/>
      <c r="I107" s="106">
        <v>8909.73221</v>
      </c>
      <c r="J107" s="193"/>
      <c r="K107" s="193"/>
      <c r="L107" s="193"/>
      <c r="M107" s="193"/>
      <c r="N107" s="194"/>
      <c r="O107" s="194"/>
    </row>
    <row r="108" spans="7:13" ht="15.75" customHeight="1">
      <c r="G108" s="223" t="s">
        <v>155</v>
      </c>
      <c r="H108" s="223"/>
      <c r="I108" s="103">
        <v>0</v>
      </c>
      <c r="J108" s="192"/>
      <c r="K108" s="192"/>
      <c r="L108" s="192"/>
      <c r="M108" s="192"/>
    </row>
    <row r="109" spans="2:13" ht="18.75" customHeight="1">
      <c r="B109" s="189" t="s">
        <v>160</v>
      </c>
      <c r="C109" s="190"/>
      <c r="D109" s="108">
        <f>138305956.27/1000</f>
        <v>138305.95627000002</v>
      </c>
      <c r="E109" s="73"/>
      <c r="F109" s="156" t="s">
        <v>147</v>
      </c>
      <c r="G109" s="191" t="s">
        <v>149</v>
      </c>
      <c r="H109" s="191"/>
      <c r="I109" s="107">
        <v>129396.23</v>
      </c>
      <c r="J109" s="192"/>
      <c r="K109" s="192"/>
      <c r="L109" s="192"/>
      <c r="M109" s="192"/>
    </row>
    <row r="110" spans="7:12" ht="9.75" customHeight="1">
      <c r="G110" s="185"/>
      <c r="H110" s="185"/>
      <c r="I110" s="90"/>
      <c r="J110" s="91"/>
      <c r="K110" s="91"/>
      <c r="L110" s="91"/>
    </row>
    <row r="111" spans="2:12" ht="22.5" customHeight="1" hidden="1">
      <c r="B111" s="186" t="s">
        <v>167</v>
      </c>
      <c r="C111" s="187"/>
      <c r="D111" s="110">
        <v>0</v>
      </c>
      <c r="E111" s="70" t="s">
        <v>104</v>
      </c>
      <c r="G111" s="185"/>
      <c r="H111" s="185"/>
      <c r="I111" s="90"/>
      <c r="J111" s="91"/>
      <c r="K111" s="91"/>
      <c r="L111" s="91"/>
    </row>
    <row r="112" spans="4:15" ht="15.75">
      <c r="D112" s="105"/>
      <c r="N112" s="185"/>
      <c r="O112" s="185"/>
    </row>
    <row r="113" spans="4:15" ht="15.75">
      <c r="D113" s="104"/>
      <c r="I113" s="34"/>
      <c r="N113" s="188"/>
      <c r="O113" s="188"/>
    </row>
    <row r="114" spans="14:15" ht="15.75">
      <c r="N114" s="185"/>
      <c r="O114" s="185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4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193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3" t="s">
        <v>205</v>
      </c>
      <c r="C3" s="184" t="s">
        <v>0</v>
      </c>
      <c r="D3" s="181" t="s">
        <v>216</v>
      </c>
      <c r="E3" s="40"/>
      <c r="F3" s="182" t="s">
        <v>107</v>
      </c>
      <c r="G3" s="217"/>
      <c r="H3" s="217"/>
      <c r="I3" s="217"/>
      <c r="J3" s="218"/>
      <c r="K3" s="114"/>
      <c r="L3" s="114"/>
      <c r="M3" s="219" t="s">
        <v>220</v>
      </c>
      <c r="N3" s="220" t="s">
        <v>175</v>
      </c>
      <c r="O3" s="220"/>
      <c r="P3" s="220"/>
      <c r="Q3" s="220"/>
      <c r="R3" s="220"/>
    </row>
    <row r="4" spans="1:18" ht="22.5" customHeight="1">
      <c r="A4" s="215"/>
      <c r="B4" s="183"/>
      <c r="C4" s="184"/>
      <c r="D4" s="181"/>
      <c r="E4" s="221" t="s">
        <v>219</v>
      </c>
      <c r="F4" s="207" t="s">
        <v>116</v>
      </c>
      <c r="G4" s="209" t="s">
        <v>173</v>
      </c>
      <c r="H4" s="230" t="s">
        <v>174</v>
      </c>
      <c r="I4" s="228" t="s">
        <v>217</v>
      </c>
      <c r="J4" s="226" t="s">
        <v>218</v>
      </c>
      <c r="K4" s="116" t="s">
        <v>172</v>
      </c>
      <c r="L4" s="121" t="s">
        <v>171</v>
      </c>
      <c r="M4" s="200"/>
      <c r="N4" s="202" t="s">
        <v>194</v>
      </c>
      <c r="O4" s="228" t="s">
        <v>136</v>
      </c>
      <c r="P4" s="220" t="s">
        <v>135</v>
      </c>
      <c r="Q4" s="122" t="s">
        <v>172</v>
      </c>
      <c r="R4" s="123" t="s">
        <v>171</v>
      </c>
    </row>
    <row r="5" spans="1:19" ht="92.25" customHeight="1">
      <c r="A5" s="216"/>
      <c r="B5" s="183"/>
      <c r="C5" s="184"/>
      <c r="D5" s="181"/>
      <c r="E5" s="222"/>
      <c r="F5" s="208"/>
      <c r="G5" s="210"/>
      <c r="H5" s="231"/>
      <c r="I5" s="229"/>
      <c r="J5" s="227"/>
      <c r="K5" s="197" t="s">
        <v>188</v>
      </c>
      <c r="L5" s="198"/>
      <c r="M5" s="201"/>
      <c r="N5" s="203"/>
      <c r="O5" s="229"/>
      <c r="P5" s="220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9"/>
      <c r="H102" s="199"/>
      <c r="I102" s="199"/>
      <c r="J102" s="19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4"/>
      <c r="O103" s="194"/>
    </row>
    <row r="104" spans="3:15" ht="15.75">
      <c r="C104" s="111">
        <v>42033</v>
      </c>
      <c r="D104" s="34">
        <v>2896.5</v>
      </c>
      <c r="F104" s="155" t="s">
        <v>166</v>
      </c>
      <c r="G104" s="191" t="s">
        <v>151</v>
      </c>
      <c r="H104" s="191"/>
      <c r="I104" s="106">
        <f>'січень '!I139</f>
        <v>8909.733</v>
      </c>
      <c r="J104" s="224" t="s">
        <v>161</v>
      </c>
      <c r="K104" s="224"/>
      <c r="L104" s="224"/>
      <c r="M104" s="224"/>
      <c r="N104" s="194"/>
      <c r="O104" s="194"/>
    </row>
    <row r="105" spans="3:15" ht="15.75">
      <c r="C105" s="111">
        <v>42032</v>
      </c>
      <c r="D105" s="34">
        <v>2838.1</v>
      </c>
      <c r="G105" s="223" t="s">
        <v>155</v>
      </c>
      <c r="H105" s="223"/>
      <c r="I105" s="103">
        <f>'січень '!I140</f>
        <v>0</v>
      </c>
      <c r="J105" s="225" t="s">
        <v>162</v>
      </c>
      <c r="K105" s="225"/>
      <c r="L105" s="225"/>
      <c r="M105" s="225"/>
      <c r="N105" s="194"/>
      <c r="O105" s="194"/>
    </row>
    <row r="106" spans="7:13" ht="15.75" customHeight="1">
      <c r="G106" s="191" t="s">
        <v>148</v>
      </c>
      <c r="H106" s="191"/>
      <c r="I106" s="103">
        <f>'січень '!I141</f>
        <v>0</v>
      </c>
      <c r="J106" s="224" t="s">
        <v>163</v>
      </c>
      <c r="K106" s="224"/>
      <c r="L106" s="224"/>
      <c r="M106" s="224"/>
    </row>
    <row r="107" spans="2:13" ht="18.75" customHeight="1">
      <c r="B107" s="189" t="s">
        <v>160</v>
      </c>
      <c r="C107" s="190"/>
      <c r="D107" s="108">
        <f>'січень '!D142</f>
        <v>132375.63</v>
      </c>
      <c r="E107" s="73"/>
      <c r="F107" s="156" t="s">
        <v>147</v>
      </c>
      <c r="G107" s="191" t="s">
        <v>149</v>
      </c>
      <c r="H107" s="191"/>
      <c r="I107" s="107">
        <f>'січень '!I142</f>
        <v>123465.893</v>
      </c>
      <c r="J107" s="224" t="s">
        <v>164</v>
      </c>
      <c r="K107" s="224"/>
      <c r="L107" s="224"/>
      <c r="M107" s="224"/>
    </row>
    <row r="108" spans="7:12" ht="9.75" customHeight="1">
      <c r="G108" s="185"/>
      <c r="H108" s="185"/>
      <c r="I108" s="90"/>
      <c r="J108" s="91"/>
      <c r="K108" s="91"/>
      <c r="L108" s="91"/>
    </row>
    <row r="109" spans="2:12" ht="22.5" customHeight="1" hidden="1">
      <c r="B109" s="186" t="s">
        <v>167</v>
      </c>
      <c r="C109" s="187"/>
      <c r="D109" s="110">
        <v>0</v>
      </c>
      <c r="E109" s="70" t="s">
        <v>104</v>
      </c>
      <c r="G109" s="185"/>
      <c r="H109" s="185"/>
      <c r="I109" s="90"/>
      <c r="J109" s="91"/>
      <c r="K109" s="91"/>
      <c r="L109" s="91"/>
    </row>
    <row r="110" spans="4:15" ht="15.75">
      <c r="D110" s="105"/>
      <c r="N110" s="185"/>
      <c r="O110" s="185"/>
    </row>
    <row r="111" spans="4:15" ht="15.75">
      <c r="D111" s="104"/>
      <c r="I111" s="34"/>
      <c r="N111" s="188"/>
      <c r="O111" s="188"/>
    </row>
    <row r="112" spans="14:15" ht="15.75">
      <c r="N112" s="185"/>
      <c r="O112" s="185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13" t="s">
        <v>193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3" t="s">
        <v>203</v>
      </c>
      <c r="C3" s="184" t="s">
        <v>0</v>
      </c>
      <c r="D3" s="181" t="s">
        <v>190</v>
      </c>
      <c r="E3" s="40"/>
      <c r="F3" s="182" t="s">
        <v>107</v>
      </c>
      <c r="G3" s="217"/>
      <c r="H3" s="217"/>
      <c r="I3" s="217"/>
      <c r="J3" s="218"/>
      <c r="K3" s="114"/>
      <c r="L3" s="114"/>
      <c r="M3" s="219" t="s">
        <v>187</v>
      </c>
      <c r="N3" s="220" t="s">
        <v>175</v>
      </c>
      <c r="O3" s="220"/>
      <c r="P3" s="220"/>
      <c r="Q3" s="220"/>
      <c r="R3" s="220"/>
    </row>
    <row r="4" spans="1:18" ht="22.5" customHeight="1">
      <c r="A4" s="215"/>
      <c r="B4" s="183"/>
      <c r="C4" s="184"/>
      <c r="D4" s="181"/>
      <c r="E4" s="221" t="s">
        <v>153</v>
      </c>
      <c r="F4" s="207" t="s">
        <v>116</v>
      </c>
      <c r="G4" s="209" t="s">
        <v>173</v>
      </c>
      <c r="H4" s="230" t="s">
        <v>174</v>
      </c>
      <c r="I4" s="228" t="s">
        <v>186</v>
      </c>
      <c r="J4" s="226" t="s">
        <v>189</v>
      </c>
      <c r="K4" s="116" t="s">
        <v>172</v>
      </c>
      <c r="L4" s="121" t="s">
        <v>171</v>
      </c>
      <c r="M4" s="200"/>
      <c r="N4" s="202" t="s">
        <v>194</v>
      </c>
      <c r="O4" s="228" t="s">
        <v>136</v>
      </c>
      <c r="P4" s="220" t="s">
        <v>135</v>
      </c>
      <c r="Q4" s="122" t="s">
        <v>172</v>
      </c>
      <c r="R4" s="123" t="s">
        <v>171</v>
      </c>
    </row>
    <row r="5" spans="1:19" ht="92.25" customHeight="1">
      <c r="A5" s="216"/>
      <c r="B5" s="183"/>
      <c r="C5" s="184"/>
      <c r="D5" s="181"/>
      <c r="E5" s="222"/>
      <c r="F5" s="208"/>
      <c r="G5" s="210"/>
      <c r="H5" s="231"/>
      <c r="I5" s="229"/>
      <c r="J5" s="227"/>
      <c r="K5" s="197" t="s">
        <v>188</v>
      </c>
      <c r="L5" s="198"/>
      <c r="M5" s="201"/>
      <c r="N5" s="203"/>
      <c r="O5" s="229"/>
      <c r="P5" s="220"/>
      <c r="Q5" s="197" t="s">
        <v>176</v>
      </c>
      <c r="R5" s="19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9"/>
      <c r="H137" s="199"/>
      <c r="I137" s="199"/>
      <c r="J137" s="19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4"/>
      <c r="O138" s="194"/>
    </row>
    <row r="139" spans="3:15" ht="15.75">
      <c r="C139" s="111">
        <v>42033</v>
      </c>
      <c r="D139" s="34">
        <v>2896.5</v>
      </c>
      <c r="F139" s="155" t="s">
        <v>166</v>
      </c>
      <c r="G139" s="191" t="s">
        <v>151</v>
      </c>
      <c r="H139" s="191"/>
      <c r="I139" s="106">
        <f>8909.733</f>
        <v>8909.733</v>
      </c>
      <c r="J139" s="224" t="s">
        <v>161</v>
      </c>
      <c r="K139" s="224"/>
      <c r="L139" s="224"/>
      <c r="M139" s="224"/>
      <c r="N139" s="194"/>
      <c r="O139" s="194"/>
    </row>
    <row r="140" spans="3:15" ht="15.75">
      <c r="C140" s="111">
        <v>42032</v>
      </c>
      <c r="D140" s="34">
        <v>2838.1</v>
      </c>
      <c r="G140" s="223" t="s">
        <v>155</v>
      </c>
      <c r="H140" s="223"/>
      <c r="I140" s="103">
        <v>0</v>
      </c>
      <c r="J140" s="225" t="s">
        <v>162</v>
      </c>
      <c r="K140" s="225"/>
      <c r="L140" s="225"/>
      <c r="M140" s="225"/>
      <c r="N140" s="194"/>
      <c r="O140" s="194"/>
    </row>
    <row r="141" spans="7:13" ht="15.75" customHeight="1">
      <c r="G141" s="191" t="s">
        <v>148</v>
      </c>
      <c r="H141" s="191"/>
      <c r="I141" s="103">
        <v>0</v>
      </c>
      <c r="J141" s="224" t="s">
        <v>163</v>
      </c>
      <c r="K141" s="224"/>
      <c r="L141" s="224"/>
      <c r="M141" s="224"/>
    </row>
    <row r="142" spans="2:13" ht="18.75" customHeight="1">
      <c r="B142" s="189" t="s">
        <v>160</v>
      </c>
      <c r="C142" s="190"/>
      <c r="D142" s="108">
        <f>132375.63</f>
        <v>132375.63</v>
      </c>
      <c r="E142" s="73"/>
      <c r="F142" s="156" t="s">
        <v>147</v>
      </c>
      <c r="G142" s="191" t="s">
        <v>149</v>
      </c>
      <c r="H142" s="191"/>
      <c r="I142" s="107">
        <f>123465.893</f>
        <v>123465.893</v>
      </c>
      <c r="J142" s="224" t="s">
        <v>164</v>
      </c>
      <c r="K142" s="224"/>
      <c r="L142" s="224"/>
      <c r="M142" s="224"/>
    </row>
    <row r="143" spans="7:12" ht="9.75" customHeight="1">
      <c r="G143" s="185"/>
      <c r="H143" s="185"/>
      <c r="I143" s="90"/>
      <c r="J143" s="91"/>
      <c r="K143" s="91"/>
      <c r="L143" s="91"/>
    </row>
    <row r="144" spans="2:12" ht="22.5" customHeight="1" hidden="1">
      <c r="B144" s="186" t="s">
        <v>167</v>
      </c>
      <c r="C144" s="187"/>
      <c r="D144" s="110">
        <v>0</v>
      </c>
      <c r="E144" s="70" t="s">
        <v>104</v>
      </c>
      <c r="G144" s="185"/>
      <c r="H144" s="185"/>
      <c r="I144" s="90"/>
      <c r="J144" s="91"/>
      <c r="K144" s="91"/>
      <c r="L144" s="91"/>
    </row>
    <row r="145" spans="4:15" ht="15.75">
      <c r="D145" s="105"/>
      <c r="N145" s="185"/>
      <c r="O145" s="185"/>
    </row>
    <row r="146" spans="4:15" ht="15.75">
      <c r="D146" s="104"/>
      <c r="I146" s="34"/>
      <c r="N146" s="188"/>
      <c r="O146" s="188"/>
    </row>
    <row r="147" spans="14:15" ht="15.75">
      <c r="N147" s="185"/>
      <c r="O147" s="185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2015-03-31T09:39:59Z</cp:lastPrinted>
  <dcterms:created xsi:type="dcterms:W3CDTF">2003-07-28T11:27:56Z</dcterms:created>
  <dcterms:modified xsi:type="dcterms:W3CDTF">2015-03-31T09:55:57Z</dcterms:modified>
  <cp:category/>
  <cp:version/>
  <cp:contentType/>
  <cp:contentStatus/>
</cp:coreProperties>
</file>